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AD2ECC4-A1A5-47F1-89F0-250DC957B9B0}" xr6:coauthVersionLast="47" xr6:coauthVersionMax="47" xr10:uidLastSave="{00000000-0000-0000-0000-000000000000}"/>
  <bookViews>
    <workbookView xWindow="-120" yWindow="-120" windowWidth="20730" windowHeight="11160" xr2:uid="{4993F82C-59BE-4B6E-B822-5E4742C1A32C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Financiero'!$A$5:$K$36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Financiero'!$C$1:$H$48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F33" i="4"/>
  <c r="K33" i="4" s="1"/>
  <c r="K32" i="4"/>
  <c r="K31" i="4"/>
  <c r="K30" i="4"/>
  <c r="K26" i="4"/>
  <c r="K25" i="4"/>
  <c r="K24" i="4"/>
  <c r="K23" i="4"/>
  <c r="H21" i="4"/>
  <c r="F21" i="4"/>
  <c r="K21" i="4" s="1"/>
  <c r="K20" i="4"/>
  <c r="H20" i="4"/>
  <c r="F20" i="4"/>
  <c r="H19" i="4"/>
  <c r="K19" i="4" s="1"/>
  <c r="F19" i="4"/>
  <c r="H18" i="4"/>
  <c r="F18" i="4"/>
  <c r="F22" i="4" s="1"/>
  <c r="H17" i="4"/>
  <c r="F17" i="4"/>
  <c r="K17" i="4" s="1"/>
  <c r="K16" i="4"/>
  <c r="H16" i="4"/>
  <c r="F16" i="4"/>
  <c r="H15" i="4"/>
  <c r="H22" i="4" s="1"/>
  <c r="F15" i="4"/>
  <c r="H11" i="4"/>
  <c r="F11" i="4"/>
  <c r="K11" i="4" s="1"/>
  <c r="F10" i="4"/>
  <c r="F12" i="4" s="1"/>
  <c r="H9" i="4"/>
  <c r="F9" i="4"/>
  <c r="K9" i="4" s="1"/>
  <c r="K8" i="4"/>
  <c r="H8" i="4"/>
  <c r="F8" i="4"/>
  <c r="H7" i="4"/>
  <c r="K7" i="4" s="1"/>
  <c r="F7" i="4"/>
  <c r="H5" i="4"/>
  <c r="C3" i="4"/>
  <c r="C1" i="4"/>
  <c r="G20" i="3"/>
  <c r="H19" i="3"/>
  <c r="G19" i="3"/>
  <c r="H18" i="3"/>
  <c r="H17" i="3"/>
  <c r="H16" i="3"/>
  <c r="H15" i="3"/>
  <c r="H13" i="3"/>
  <c r="H20" i="3" s="1"/>
  <c r="G13" i="3"/>
  <c r="F13" i="3"/>
  <c r="F20" i="3" s="1"/>
  <c r="E13" i="3"/>
  <c r="E20" i="3" s="1"/>
  <c r="D13" i="3"/>
  <c r="D14" i="3" s="1"/>
  <c r="H12" i="3"/>
  <c r="H9" i="3"/>
  <c r="H8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C44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H17" i="2"/>
  <c r="C17" i="2"/>
  <c r="C16" i="2"/>
  <c r="H16" i="2" s="1"/>
  <c r="M14" i="2"/>
  <c r="E14" i="2"/>
  <c r="H14" i="2" s="1"/>
  <c r="O13" i="2"/>
  <c r="O14" i="2" s="1"/>
  <c r="H13" i="2"/>
  <c r="H12" i="2"/>
  <c r="H11" i="2"/>
  <c r="O10" i="2"/>
  <c r="I10" i="2"/>
  <c r="E10" i="2"/>
  <c r="H10" i="2" s="1"/>
  <c r="C10" i="2"/>
  <c r="M10" i="2" s="1"/>
  <c r="I9" i="2"/>
  <c r="I26" i="2" s="1"/>
  <c r="I61" i="2" s="1"/>
  <c r="I63" i="2" s="1"/>
  <c r="H9" i="2"/>
  <c r="E9" i="2"/>
  <c r="E26" i="2" s="1"/>
  <c r="E61" i="2" s="1"/>
  <c r="E63" i="2" s="1"/>
  <c r="C9" i="2"/>
  <c r="H8" i="2"/>
  <c r="H7" i="2"/>
  <c r="E5" i="2"/>
  <c r="C5" i="2"/>
  <c r="A3" i="2"/>
  <c r="A1" i="2"/>
  <c r="F28" i="4" l="1"/>
  <c r="K22" i="4"/>
  <c r="H12" i="4"/>
  <c r="H28" i="4" s="1"/>
  <c r="K18" i="4"/>
  <c r="K15" i="4"/>
  <c r="D20" i="3"/>
  <c r="H14" i="3"/>
  <c r="G63" i="2"/>
  <c r="H56" i="2" s="1"/>
  <c r="H54" i="2"/>
  <c r="H59" i="2" s="1"/>
  <c r="O56" i="2"/>
  <c r="O48" i="2"/>
  <c r="H26" i="2"/>
  <c r="C26" i="2"/>
  <c r="C61" i="2" s="1"/>
  <c r="H36" i="2"/>
  <c r="M9" i="2"/>
  <c r="K12" i="4" l="1"/>
  <c r="K28" i="4"/>
  <c r="C63" i="2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tc={CC02B773-DAB1-4572-A717-1972C5D5D633}</author>
  </authors>
  <commentList>
    <comment ref="J19" authorId="0" shapeId="0" xr:uid="{CC02B773-DAB1-4572-A717-1972C5D5D6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<sst xmlns="http://schemas.openxmlformats.org/spreadsheetml/2006/main" count="130" uniqueCount="111">
  <si>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30 del mes de noviembre del año 2022</t>
  </si>
  <si>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</si>
  <si>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</si>
  <si>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</si>
  <si>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</si>
  <si>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</si>
  <si>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</si>
  <si>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30 noviembre del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</si>
  <si>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</si>
  <si>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</si>
  <si>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</si>
  <si>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</si>
  <si>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</si>
  <si>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</si>
  <si>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</si>
  <si>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</si>
  <si>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</si>
  <si>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</si>
  <si>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</si>
  <si>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</si>
  <si>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</si>
  <si>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</si>
  <si>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</si>
  <si>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</si>
  <si>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</si>
  <si>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</si>
  <si>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</si>
  <si>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</si>
  <si>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</si>
  <si>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</si>
  <si>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</si>
  <si>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</si>
  <si>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</si>
  <si>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</si>
  <si>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</si>
  <si>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</si>
  <si>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</si>
  <si>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</si>
  <si>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</si>
  <si>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</si>
  <si>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</si>
  <si>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</si>
  <si>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</si>
  <si>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</si>
  <si>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</si>
  <si>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</si>
  <si>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</si>
  <si>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</si>
  <si>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</si>
  <si>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</si>
  <si>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</si>
  <si>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</si>
  <si>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</si>
  <si>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</si>
  <si>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</si>
  <si>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</si>
  <si>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</si>
  <si>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</si>
  <si>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</si>
  <si>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</si>
  <si>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</si>
  <si>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</si>
  <si>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</si>
  <si>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</si>
  <si>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</si>
  <si>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</si>
  <si>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</si>
  <si>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</si>
  <si>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</si>
  <si>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</si>
  <si>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2021</t>
  </si>
  <si>
    <t>Efecto del gasto de depreciación de los activos revaluados</t>
  </si>
  <si>
    <t>Saldo al 31 de octubre del 2022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</si>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</sst>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1" fontId="9" fillId="2" borderId="6" xfId="0" applyNumberFormat="1" applyFont="1" applyFill="1" applyBorder="1"/>
    <xf numFmtId="41" fontId="9" fillId="0" borderId="6" xfId="0" applyNumberFormat="1" applyFont="1" applyBorder="1"/>
    <xf numFmtId="41" fontId="9" fillId="0" borderId="6" xfId="0" applyNumberFormat="1" applyFont="1" applyBorder="1" applyAlignment="1">
      <alignment vertical="center"/>
    </xf>
    <xf numFmtId="41" fontId="4" fillId="0" borderId="6" xfId="0" applyNumberFormat="1" applyFont="1" applyBorder="1"/>
    <xf numFmtId="41" fontId="4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Millares 2" xfId="2" xr:uid="{68D55B34-BBB0-4938-A570-35A01EB07D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nov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NOVIEMBRE 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>
        <row r="51">
          <cell r="E51">
            <v>87076.75</v>
          </cell>
        </row>
      </sheetData>
      <sheetData sheetId="5"/>
      <sheetData sheetId="6">
        <row r="19">
          <cell r="D19">
            <v>1295029</v>
          </cell>
        </row>
        <row r="37">
          <cell r="D37">
            <v>-2500000</v>
          </cell>
        </row>
        <row r="38">
          <cell r="D38">
            <v>-24966089.449999999</v>
          </cell>
        </row>
        <row r="39">
          <cell r="D39">
            <v>-710000</v>
          </cell>
        </row>
        <row r="45">
          <cell r="D45">
            <v>26372445.359999999</v>
          </cell>
        </row>
        <row r="58">
          <cell r="D58">
            <v>1243236.1599999999</v>
          </cell>
        </row>
        <row r="85">
          <cell r="D85">
            <v>3992018.0656779665</v>
          </cell>
        </row>
        <row r="105">
          <cell r="D105">
            <v>4769976.5639830511</v>
          </cell>
        </row>
        <row r="159">
          <cell r="D159">
            <v>64350</v>
          </cell>
        </row>
        <row r="160">
          <cell r="D160">
            <v>2031411.14</v>
          </cell>
        </row>
      </sheetData>
      <sheetData sheetId="7">
        <row r="8">
          <cell r="F8">
            <v>2500000</v>
          </cell>
        </row>
        <row r="9">
          <cell r="F9">
            <v>24966089.449999999</v>
          </cell>
        </row>
        <row r="11">
          <cell r="F11">
            <v>710000</v>
          </cell>
        </row>
        <row r="28">
          <cell r="F28">
            <v>-10297347.839661021</v>
          </cell>
        </row>
      </sheetData>
      <sheetData sheetId="8">
        <row r="13">
          <cell r="G13">
            <v>18555016.600000001</v>
          </cell>
        </row>
      </sheetData>
      <sheetData sheetId="9">
        <row r="63">
          <cell r="C63">
            <v>33594255.141525418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B81D140E-8922-45FB-8C96-26B003DC256A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B81D140E-8922-45FB-8C96-26B003DC256A}" id="{CC02B773-DAB1-4572-A717-1972C5D5D633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0479-2DEC-4F75-9D15-F99D63472D94}">
  <sheetPr filterMode="1"/>
  <dimension ref="A1:N47"/>
  <sheetViews>
    <sheetView tabSelected="1" view="pageBreakPreview" topLeftCell="C1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12" t="str">
        <f>'[5] ERF-Rendimiento Financiero'!C3</f>
        <v>Estado de Rendimiento Financiero</v>
      </c>
      <c r="D1" s="112"/>
      <c r="E1" s="112"/>
      <c r="F1" s="112"/>
      <c r="G1" s="112"/>
      <c r="H1" s="112"/>
    </row>
    <row r="2" spans="1:13" ht="15" customHeight="1" x14ac:dyDescent="0.25">
      <c r="C2" s="110" t="s">
        <v>0</v>
      </c>
      <c r="D2" s="110"/>
      <c r="E2" s="110"/>
      <c r="F2" s="110"/>
      <c r="G2" s="110"/>
      <c r="H2" s="30"/>
    </row>
    <row r="3" spans="1:13" ht="15" customHeight="1" x14ac:dyDescent="0.25">
      <c r="C3" s="110" t="str">
        <f>'[5] ERF-Rendimiento Financiero'!C5</f>
        <v>(Valores en RD$)</v>
      </c>
      <c r="D3" s="110"/>
      <c r="E3" s="110"/>
      <c r="F3" s="110"/>
      <c r="G3" s="110"/>
      <c r="H3" s="110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100"/>
      <c r="G5" s="100"/>
      <c r="H5" s="100">
        <f>+'[1]ESF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1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-SUMIF('[1]BC Balance Comprobación'!A:A,' ERF-Rendimiento Financiero'!A7,'[1]BC Balance Comprobación'!D:D)</f>
        <v>#VALUE!</v>
      </c>
      <c r="G7" s="9"/>
      <c r="H7" s="9" t="e">
        <f>-SUMIF('[1]BC Balance Comprobación'!A:A,' ERF-Rendimiento Financiero'!A7,'[1]BC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-'[2]BC Balance Comprobación'!D37</f>
        <v>2500000</v>
      </c>
      <c r="G8" s="6"/>
      <c r="H8" s="6" t="e">
        <f>-SUMIF('[1]BC Balance Comprobación'!A:A,' ERF-Rendimiento Financiero'!A8,'[1]BC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-'[2]BC Balance Comprobación'!D38</f>
        <v>24966089.449999999</v>
      </c>
      <c r="G9" s="6"/>
      <c r="H9" s="6" t="e">
        <f>-SUMIF('[1]BC Balance Comprobación'!A:A,' ERF-Rendimiento Financiero'!A9,'[1]BC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-'[2]BC Balance Comprobación'!D40</f>
        <v>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-'[2]BC Balance Comprobación'!D39</f>
        <v>710000</v>
      </c>
      <c r="G11" s="6"/>
      <c r="H11" s="14" t="e">
        <f>-SUMIF('[1]BC Balance Comprobación'!A:A,' ERF-Rendimiento Financiero'!A11,'[1]BC Balance Comprobación'!F:F)</f>
        <v>#VALUE!</v>
      </c>
      <c r="K11" s="9" t="e">
        <f>+F11+H11</f>
        <v>#VALUE!</v>
      </c>
    </row>
    <row r="12" spans="1:13" ht="15.75" x14ac:dyDescent="0.25">
      <c r="C12" s="30" t="s">
        <v>86</v>
      </c>
      <c r="D12" s="30"/>
      <c r="E12" s="30"/>
      <c r="F12" s="19">
        <f>+F8+F9+F10+F11</f>
        <v>28176089.449999999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2</v>
      </c>
      <c r="D13" s="5"/>
      <c r="E13" s="5"/>
      <c r="F13" s="6"/>
      <c r="G13" s="6"/>
      <c r="H13" s="6"/>
    </row>
    <row r="14" spans="1:13" ht="15.75" x14ac:dyDescent="0.25">
      <c r="C14" s="30" t="s">
        <v>87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31">
        <f>'[2]BC Balance Comprobación'!D45+'[2]BC Balance Comprobación'!D58</f>
        <v>27615681.52</v>
      </c>
      <c r="G15" s="6"/>
      <c r="H15" s="6" t="e">
        <f>SUMIF('[1]BC Balance Comprobación'!A:A,' ERF-Rendimiento Financiero'!A15,'[1]BC Balance Comprobación'!F:F)</f>
        <v>#VALUE!</v>
      </c>
      <c r="J15" s="9"/>
      <c r="K15" s="9" t="e">
        <f t="shared" ref="K15:K26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'[2]BC Balance Comprobación'!D85+'[2]BC Balance Comprobación'!D159</f>
        <v>4056368.0656779665</v>
      </c>
      <c r="G16" s="9"/>
      <c r="H16" s="9" t="e">
        <f>SUMIF('[1]BC Balance Comprobación'!A:A,' ERF-Rendimiento Financiero'!A16,'[1]BC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'[2]BC Balance Comprobación'!D105</f>
        <v>4769976.5639830511</v>
      </c>
      <c r="G17" s="6"/>
      <c r="H17" s="6" t="e">
        <f>SUMIF('[1]BC Balance Comprobación'!A:A,' ERF-Rendimiento Financiero'!A17,'[1]BC Balance Comprobación'!F:F)</f>
        <v>#VALUE!</v>
      </c>
      <c r="J17" s="20"/>
      <c r="K17" s="9" t="e">
        <f t="shared" si="0"/>
        <v>#VALUE!</v>
      </c>
      <c r="L17" s="11"/>
      <c r="M17" s="20"/>
      <c r="N17" s="102"/>
    </row>
    <row r="18" spans="1:14" ht="15.75" x14ac:dyDescent="0.25">
      <c r="A18" s="3" t="s">
        <v>94</v>
      </c>
      <c r="C18" s="5" t="s">
        <v>95</v>
      </c>
      <c r="D18" s="5"/>
      <c r="E18" s="5"/>
      <c r="F18" s="14">
        <f>'[2]BC Balance Comprobación'!D160</f>
        <v>2031411.14</v>
      </c>
      <c r="G18" s="6"/>
      <c r="H18" s="6" t="e">
        <f>SUMIF('[1]BC Balance Comprobación'!A:A,' ERF-Rendimiento Financiero'!A18,'[1]BC Balance Comprobación'!F:F)</f>
        <v>#VALUE!</v>
      </c>
      <c r="J18" s="9"/>
      <c r="K18" s="9" t="e">
        <f t="shared" si="0"/>
        <v>#VALUE!</v>
      </c>
    </row>
    <row r="19" spans="1:14" hidden="1" x14ac:dyDescent="0.25">
      <c r="A19" s="3" t="s">
        <v>96</v>
      </c>
      <c r="C19" s="1" t="s">
        <v>97</v>
      </c>
      <c r="F19" s="9" t="e">
        <f>SUMIF('[1]BC Balance Comprobación'!A:A,' ERF-Rendimiento Financiero'!A19,'[1]BC Balance Comprobación'!D:D)</f>
        <v>#VALUE!</v>
      </c>
      <c r="G19" s="9"/>
      <c r="H19" s="9" t="e">
        <f>SUMIF('[1]BC Balance Comprobación'!A:A,' ERF-Rendimiento Financiero'!A19,'[1]BC Balance Comprobación'!F:F)</f>
        <v>#VALUE!</v>
      </c>
      <c r="K19" s="9" t="e">
        <f t="shared" si="0"/>
        <v>#VALUE!</v>
      </c>
    </row>
    <row r="20" spans="1:14" ht="15.75" hidden="1" x14ac:dyDescent="0.25">
      <c r="A20" s="3" t="s">
        <v>98</v>
      </c>
      <c r="C20" s="5" t="s">
        <v>99</v>
      </c>
      <c r="D20" s="5"/>
      <c r="E20" s="5"/>
      <c r="F20" s="14">
        <f>'[1]BC Balance Comprobación'!D153</f>
        <v>0</v>
      </c>
      <c r="G20" s="6"/>
      <c r="H20" s="14" t="e">
        <f>SUMIF('[1]BC Balance Comprobación'!A:A,' ERF-Rendimiento Financiero'!A20,'[1]BC Balance Comprobación'!F:F)</f>
        <v>#VALUE!</v>
      </c>
      <c r="J20" s="9"/>
      <c r="K20" s="9" t="e">
        <f t="shared" si="0"/>
        <v>#VALUE!</v>
      </c>
      <c r="L20" s="11"/>
      <c r="N20" s="102"/>
    </row>
    <row r="21" spans="1:14" hidden="1" x14ac:dyDescent="0.25">
      <c r="A21" s="3" t="s">
        <v>100</v>
      </c>
      <c r="C21" s="1" t="s">
        <v>101</v>
      </c>
      <c r="F21" s="9" t="e">
        <f>SUMIF('[1]BC Balance Comprobación'!A:A,' ERF-Rendimiento Financiero'!A21,'[1]BC Balance Comprobación'!D:D)</f>
        <v>#VALUE!</v>
      </c>
      <c r="G21" s="9"/>
      <c r="H21" s="9" t="e">
        <f>SUMIF('[1]BC Balance Comprobación'!A:A,' ERF-Rendimiento Financiero'!A21,'[1]BC Balance Comprobación'!F:F)</f>
        <v>#VALUE!</v>
      </c>
      <c r="K21" s="9" t="e">
        <f t="shared" si="0"/>
        <v>#VALUE!</v>
      </c>
    </row>
    <row r="22" spans="1:14" ht="15.75" x14ac:dyDescent="0.25">
      <c r="C22" s="30" t="s">
        <v>102</v>
      </c>
      <c r="D22" s="30"/>
      <c r="E22" s="30"/>
      <c r="F22" s="8">
        <f>F15+F16+F17+F18</f>
        <v>38473437.28966102</v>
      </c>
      <c r="G22" s="8"/>
      <c r="H22" s="19" t="e">
        <f>SUM(H15:H21)</f>
        <v>#VALUE!</v>
      </c>
      <c r="J22" s="22"/>
      <c r="K22" s="9" t="e">
        <f t="shared" si="0"/>
        <v>#VALUE!</v>
      </c>
      <c r="L22" s="9"/>
    </row>
    <row r="23" spans="1:14" x14ac:dyDescent="0.25">
      <c r="F23" s="9"/>
      <c r="G23" s="9"/>
      <c r="H23" s="9"/>
      <c r="J23" s="22"/>
      <c r="K23" s="9">
        <f t="shared" si="0"/>
        <v>0</v>
      </c>
    </row>
    <row r="24" spans="1:14" hidden="1" x14ac:dyDescent="0.25">
      <c r="A24" s="3" t="s">
        <v>103</v>
      </c>
      <c r="C24" s="1" t="s">
        <v>104</v>
      </c>
      <c r="F24" s="9">
        <v>0</v>
      </c>
      <c r="G24" s="9"/>
      <c r="H24" s="9">
        <v>0</v>
      </c>
      <c r="K24" s="9">
        <f t="shared" si="0"/>
        <v>0</v>
      </c>
    </row>
    <row r="25" spans="1:14" hidden="1" x14ac:dyDescent="0.25">
      <c r="F25" s="9"/>
      <c r="G25" s="9"/>
      <c r="H25" s="9"/>
      <c r="K25" s="9">
        <f t="shared" si="0"/>
        <v>0</v>
      </c>
    </row>
    <row r="26" spans="1:14" hidden="1" x14ac:dyDescent="0.25">
      <c r="A26" s="3" t="s">
        <v>105</v>
      </c>
      <c r="C26" s="1" t="s">
        <v>106</v>
      </c>
      <c r="F26" s="9">
        <v>0</v>
      </c>
      <c r="G26" s="9"/>
      <c r="H26" s="9">
        <v>0</v>
      </c>
      <c r="K26" s="9">
        <f t="shared" si="0"/>
        <v>0</v>
      </c>
    </row>
    <row r="27" spans="1:14" ht="15.75" x14ac:dyDescent="0.25">
      <c r="C27" s="5"/>
      <c r="D27" s="5"/>
      <c r="E27" s="5"/>
      <c r="F27" s="6"/>
      <c r="G27" s="6"/>
      <c r="H27" s="6"/>
      <c r="J27" s="22"/>
    </row>
    <row r="28" spans="1:14" ht="16.5" thickBot="1" x14ac:dyDescent="0.3">
      <c r="C28" s="5" t="s">
        <v>3</v>
      </c>
      <c r="D28" s="5"/>
      <c r="E28" s="5"/>
      <c r="F28" s="18">
        <f>F12-F22</f>
        <v>-10297347.839661021</v>
      </c>
      <c r="G28" s="8"/>
      <c r="H28" s="18" t="e">
        <f>+H12-H22+H24+H26</f>
        <v>#VALUE!</v>
      </c>
      <c r="K28" s="9" t="e">
        <f>+F28+H28</f>
        <v>#VALUE!</v>
      </c>
    </row>
    <row r="29" spans="1:14" ht="16.5" thickTop="1" x14ac:dyDescent="0.25">
      <c r="C29" s="5"/>
      <c r="D29" s="5"/>
      <c r="E29" s="5"/>
      <c r="F29" s="6"/>
      <c r="G29" s="6"/>
      <c r="H29" s="6"/>
      <c r="J29" s="9"/>
    </row>
    <row r="30" spans="1:14" hidden="1" x14ac:dyDescent="0.25">
      <c r="F30" s="9"/>
      <c r="G30" s="9"/>
      <c r="H30" s="9"/>
      <c r="K30" s="9">
        <f>+F30+H30</f>
        <v>0</v>
      </c>
    </row>
    <row r="31" spans="1:14" hidden="1" x14ac:dyDescent="0.25">
      <c r="A31" s="3" t="s">
        <v>107</v>
      </c>
      <c r="C31" s="1" t="s">
        <v>108</v>
      </c>
      <c r="F31" s="9">
        <v>0</v>
      </c>
      <c r="G31" s="9"/>
      <c r="H31" s="9">
        <v>0</v>
      </c>
      <c r="K31" s="9">
        <f>+F31+H31</f>
        <v>0</v>
      </c>
    </row>
    <row r="32" spans="1:14" hidden="1" x14ac:dyDescent="0.25">
      <c r="A32" s="3" t="s">
        <v>109</v>
      </c>
      <c r="C32" s="1" t="s">
        <v>110</v>
      </c>
      <c r="F32" s="15">
        <v>0</v>
      </c>
      <c r="G32" s="15"/>
      <c r="H32" s="15">
        <v>0</v>
      </c>
      <c r="K32" s="9">
        <f>+F32+H32</f>
        <v>0</v>
      </c>
    </row>
    <row r="33" spans="3:11" ht="15.75" hidden="1" thickBot="1" x14ac:dyDescent="0.3">
      <c r="F33" s="24">
        <f>SUM(F31:F32)</f>
        <v>0</v>
      </c>
      <c r="G33" s="21"/>
      <c r="H33" s="24">
        <f>SUM(H31:H32)</f>
        <v>0</v>
      </c>
      <c r="K33" s="9">
        <f>+F33+H33</f>
        <v>0</v>
      </c>
    </row>
    <row r="34" spans="3:11" ht="15.75" hidden="1" x14ac:dyDescent="0.25">
      <c r="C34" s="5"/>
      <c r="D34" s="5"/>
      <c r="E34" s="5"/>
      <c r="F34" s="6"/>
      <c r="G34" s="6"/>
      <c r="H34" s="6"/>
    </row>
    <row r="35" spans="3:11" ht="15.75" x14ac:dyDescent="0.25">
      <c r="C35" s="113"/>
      <c r="D35" s="113"/>
      <c r="E35" s="113"/>
      <c r="F35" s="113"/>
      <c r="G35" s="113"/>
      <c r="H35" s="113"/>
    </row>
    <row r="36" spans="3:11" ht="15.75" hidden="1" x14ac:dyDescent="0.25">
      <c r="C36" s="5" t="s">
        <v>56</v>
      </c>
      <c r="D36" s="5"/>
      <c r="E36" s="5"/>
      <c r="F36" s="4"/>
      <c r="G36" s="4"/>
      <c r="H36" s="5"/>
    </row>
    <row r="37" spans="3:11" ht="15.75" x14ac:dyDescent="0.25">
      <c r="C37" s="4"/>
      <c r="D37" s="4"/>
      <c r="E37" s="4"/>
      <c r="F37" s="5"/>
      <c r="G37" s="5"/>
      <c r="H37" s="5"/>
    </row>
    <row r="38" spans="3:11" ht="15.75" x14ac:dyDescent="0.25">
      <c r="C38" s="4"/>
      <c r="D38" s="4"/>
      <c r="E38" s="4"/>
      <c r="F38" s="31"/>
      <c r="G38" s="5"/>
      <c r="H38" s="5"/>
    </row>
    <row r="39" spans="3:11" ht="15.75" x14ac:dyDescent="0.25">
      <c r="C39" s="4"/>
      <c r="D39" s="4"/>
      <c r="E39" s="4"/>
      <c r="F39" s="6"/>
      <c r="G39" s="5"/>
      <c r="H39" s="5"/>
    </row>
    <row r="40" spans="3:11" ht="15.75" x14ac:dyDescent="0.25">
      <c r="C40" s="4"/>
      <c r="D40" s="4"/>
      <c r="E40" s="4"/>
      <c r="F40" s="31"/>
      <c r="G40" s="5"/>
      <c r="H40" s="5"/>
      <c r="J40" s="20"/>
    </row>
    <row r="41" spans="3:11" ht="15.75" x14ac:dyDescent="0.25">
      <c r="C41" s="5"/>
      <c r="D41" s="5"/>
      <c r="E41" s="5"/>
      <c r="F41" s="5"/>
      <c r="G41" s="5"/>
      <c r="H41" s="5"/>
    </row>
    <row r="42" spans="3:11" ht="15.75" hidden="1" x14ac:dyDescent="0.25">
      <c r="C42" s="104" t="s">
        <v>6</v>
      </c>
      <c r="D42" s="104"/>
      <c r="E42" s="104"/>
      <c r="F42" s="104"/>
      <c r="G42" s="104"/>
      <c r="H42" s="104"/>
    </row>
    <row r="43" spans="3:11" ht="18.75" hidden="1" x14ac:dyDescent="0.25">
      <c r="C43" s="32"/>
      <c r="D43" s="32"/>
      <c r="E43" s="32"/>
      <c r="F43" s="32"/>
      <c r="G43" s="32"/>
      <c r="H43" s="32"/>
    </row>
    <row r="44" spans="3:11" ht="18.75" hidden="1" x14ac:dyDescent="0.25">
      <c r="C44" s="33"/>
      <c r="D44" s="33"/>
      <c r="E44" s="33"/>
      <c r="F44" s="33"/>
      <c r="G44" s="33"/>
      <c r="H44" s="33"/>
    </row>
    <row r="45" spans="3:11" ht="15.75" hidden="1" customHeight="1" x14ac:dyDescent="0.3">
      <c r="C45" s="104"/>
      <c r="D45" s="104"/>
      <c r="E45" s="104"/>
      <c r="F45" s="104"/>
      <c r="G45" s="104"/>
      <c r="H45" s="103"/>
    </row>
    <row r="46" spans="3:11" ht="18.75" x14ac:dyDescent="0.25">
      <c r="C46" s="110" t="s">
        <v>4</v>
      </c>
      <c r="D46" s="110"/>
      <c r="E46" s="110"/>
      <c r="F46" s="110"/>
      <c r="G46" s="30"/>
      <c r="H46" s="33"/>
    </row>
    <row r="47" spans="3:11" x14ac:dyDescent="0.25">
      <c r="C47" s="111" t="s">
        <v>5</v>
      </c>
      <c r="D47" s="111"/>
      <c r="E47" s="111"/>
      <c r="F47" s="111"/>
    </row>
  </sheetData>
  <autoFilter ref="A5:K36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F46"/>
    <mergeCell ref="C47:F47"/>
    <mergeCell ref="C1:H1"/>
    <mergeCell ref="C2:G2"/>
    <mergeCell ref="C3:H3"/>
    <mergeCell ref="C35:H35"/>
    <mergeCell ref="C42:H42"/>
    <mergeCell ref="C45:G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7E27-6B98-4AF9-B0F0-9E06E41CBB51}">
  <sheetPr filterMode="1"/>
  <dimension ref="A2:N30"/>
  <sheetViews>
    <sheetView view="pageBreakPreview" zoomScale="75" zoomScaleSheetLayoutView="75" workbookViewId="0">
      <selection activeCell="F9" sqref="F9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19.42578125" style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6"/>
      <c r="C2" s="106"/>
      <c r="D2" s="106"/>
      <c r="E2" s="106"/>
      <c r="F2" s="106"/>
      <c r="G2" s="106"/>
      <c r="H2" s="106"/>
    </row>
    <row r="3" spans="1:13" ht="18.75" x14ac:dyDescent="0.25">
      <c r="B3" s="106" t="s">
        <v>59</v>
      </c>
      <c r="C3" s="106"/>
      <c r="D3" s="106"/>
      <c r="E3" s="106"/>
      <c r="F3" s="106"/>
      <c r="G3" s="106"/>
      <c r="H3" s="106"/>
    </row>
    <row r="4" spans="1:13" ht="18.75" x14ac:dyDescent="0.25">
      <c r="B4" s="106" t="s">
        <v>0</v>
      </c>
      <c r="C4" s="106"/>
      <c r="D4" s="106"/>
      <c r="E4" s="106"/>
      <c r="F4" s="106"/>
      <c r="G4" s="106"/>
      <c r="H4" s="106"/>
    </row>
    <row r="5" spans="1:13" ht="18.75" x14ac:dyDescent="0.25">
      <c r="B5" s="106" t="s">
        <v>1</v>
      </c>
      <c r="C5" s="106"/>
      <c r="D5" s="106"/>
      <c r="E5" s="106"/>
      <c r="F5" s="106"/>
      <c r="G5" s="106"/>
      <c r="H5" s="106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5"/>
      <c r="D7" s="86" t="s">
        <v>60</v>
      </c>
      <c r="E7" s="86" t="s">
        <v>61</v>
      </c>
      <c r="F7" s="86" t="s">
        <v>62</v>
      </c>
      <c r="G7" s="86" t="s">
        <v>63</v>
      </c>
      <c r="H7" s="86" t="s">
        <v>64</v>
      </c>
    </row>
    <row r="8" spans="1:13" ht="18.75" x14ac:dyDescent="0.3">
      <c r="B8" s="33"/>
      <c r="C8" s="85" t="s">
        <v>65</v>
      </c>
      <c r="D8" s="87">
        <v>51695326</v>
      </c>
      <c r="E8" s="88">
        <v>0</v>
      </c>
      <c r="F8" s="88">
        <v>0</v>
      </c>
      <c r="G8" s="89">
        <v>26974241.190000001</v>
      </c>
      <c r="H8" s="89">
        <f>SUM(D8,E8,F8,G8)</f>
        <v>78669567.189999998</v>
      </c>
      <c r="I8" s="9"/>
    </row>
    <row r="9" spans="1:13" customFormat="1" ht="18.75" x14ac:dyDescent="0.3">
      <c r="A9" s="13"/>
      <c r="B9" s="49"/>
      <c r="C9" s="85" t="s">
        <v>66</v>
      </c>
      <c r="D9" s="88"/>
      <c r="E9" s="88">
        <v>0</v>
      </c>
      <c r="F9" s="88"/>
      <c r="G9" s="88"/>
      <c r="H9" s="88">
        <f>SUM(D9,E9,F9,G9)</f>
        <v>0</v>
      </c>
      <c r="I9" s="13"/>
    </row>
    <row r="10" spans="1:13" customFormat="1" ht="18.75" x14ac:dyDescent="0.3">
      <c r="A10" s="13"/>
      <c r="B10" s="49"/>
      <c r="C10" s="85" t="s">
        <v>67</v>
      </c>
      <c r="D10" s="88"/>
      <c r="E10" s="88"/>
      <c r="F10" s="88" t="s">
        <v>2</v>
      </c>
      <c r="G10" s="88"/>
      <c r="H10" s="88"/>
      <c r="I10" s="13"/>
    </row>
    <row r="11" spans="1:13" ht="18.75" x14ac:dyDescent="0.3">
      <c r="B11" s="33"/>
      <c r="C11" s="85" t="s">
        <v>68</v>
      </c>
      <c r="D11" s="87"/>
      <c r="E11" s="88"/>
      <c r="F11" s="88"/>
      <c r="G11" s="89"/>
      <c r="H11" s="89"/>
      <c r="I11" s="9"/>
      <c r="J11" s="17"/>
    </row>
    <row r="12" spans="1:13" ht="18.75" x14ac:dyDescent="0.3">
      <c r="B12" s="33"/>
      <c r="C12" s="85" t="s">
        <v>69</v>
      </c>
      <c r="D12" s="87"/>
      <c r="E12" s="88"/>
      <c r="F12" s="88"/>
      <c r="G12" s="89">
        <v>-8419224.5899999999</v>
      </c>
      <c r="H12" s="89">
        <f>SUM(D12,E12,F12,G12)</f>
        <v>-8419224.5899999999</v>
      </c>
      <c r="I12" s="9"/>
    </row>
    <row r="13" spans="1:13" ht="18.75" x14ac:dyDescent="0.3">
      <c r="B13" s="33"/>
      <c r="C13" s="85" t="s">
        <v>70</v>
      </c>
      <c r="D13" s="90">
        <f>SUM(D8:D12)</f>
        <v>51695326</v>
      </c>
      <c r="E13" s="90">
        <f>SUM(E8:E12)</f>
        <v>0</v>
      </c>
      <c r="F13" s="90">
        <f>SUM(F8:F12)</f>
        <v>0</v>
      </c>
      <c r="G13" s="91">
        <f>SUM(G8:G12)</f>
        <v>18555016.600000001</v>
      </c>
      <c r="H13" s="91">
        <f>SUM(H8:H12)</f>
        <v>70250342.599999994</v>
      </c>
      <c r="I13" s="9"/>
      <c r="K13" s="17"/>
      <c r="M13" s="17"/>
    </row>
    <row r="14" spans="1:13" ht="18.75" hidden="1" x14ac:dyDescent="0.3">
      <c r="B14" s="33"/>
      <c r="C14" s="92" t="s">
        <v>2</v>
      </c>
      <c r="D14" s="93">
        <f>SUM(D9:D13)</f>
        <v>51695326</v>
      </c>
      <c r="E14" s="45"/>
      <c r="F14" s="94"/>
      <c r="G14" s="35">
        <v>39052659</v>
      </c>
      <c r="H14" s="95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6" t="s">
        <v>66</v>
      </c>
      <c r="D15" s="88"/>
      <c r="E15" s="88">
        <v>0</v>
      </c>
      <c r="F15" s="88"/>
      <c r="G15" s="88"/>
      <c r="H15" s="88">
        <f>SUM(D15,E15,F15,G15)</f>
        <v>0</v>
      </c>
      <c r="I15" s="13"/>
      <c r="K15" s="60"/>
      <c r="M15" s="60"/>
    </row>
    <row r="16" spans="1:13" customFormat="1" ht="18.75" x14ac:dyDescent="0.3">
      <c r="A16" s="13"/>
      <c r="B16" s="49"/>
      <c r="C16" s="96" t="s">
        <v>67</v>
      </c>
      <c r="D16" s="88"/>
      <c r="E16" s="88"/>
      <c r="F16" s="88">
        <v>0</v>
      </c>
      <c r="G16" s="88"/>
      <c r="H16" s="88">
        <f>SUM(D16,E16,F16,G16)</f>
        <v>0</v>
      </c>
      <c r="I16" s="13"/>
    </row>
    <row r="17" spans="1:14" customFormat="1" ht="37.5" x14ac:dyDescent="0.3">
      <c r="A17" s="13"/>
      <c r="B17" s="49"/>
      <c r="C17" s="97" t="s">
        <v>71</v>
      </c>
      <c r="D17" s="88"/>
      <c r="E17" s="88"/>
      <c r="F17" s="88">
        <v>0</v>
      </c>
      <c r="G17" s="88"/>
      <c r="H17" s="88">
        <f>SUM(D17,E17,F17,G17)</f>
        <v>0</v>
      </c>
      <c r="I17" s="9"/>
      <c r="J17" s="79"/>
      <c r="K17" s="60"/>
    </row>
    <row r="18" spans="1:14" ht="18.75" x14ac:dyDescent="0.3">
      <c r="B18" s="33"/>
      <c r="C18" s="96" t="s">
        <v>68</v>
      </c>
      <c r="D18" s="88"/>
      <c r="E18" s="88"/>
      <c r="F18" s="88"/>
      <c r="G18" s="89">
        <v>19283804</v>
      </c>
      <c r="H18" s="88">
        <f>SUM(D18,E18,F18,G18)</f>
        <v>19283804</v>
      </c>
      <c r="I18" s="9"/>
      <c r="J18" s="27"/>
      <c r="K18" s="17"/>
      <c r="N18" s="98"/>
    </row>
    <row r="19" spans="1:14" ht="18.75" x14ac:dyDescent="0.3">
      <c r="B19" s="33"/>
      <c r="C19" s="96" t="s">
        <v>69</v>
      </c>
      <c r="D19" s="88"/>
      <c r="E19" s="88"/>
      <c r="F19" s="88"/>
      <c r="G19" s="89">
        <f>'[2] ERF-Rendimiento Financiero'!F28</f>
        <v>-10297347.839661021</v>
      </c>
      <c r="H19" s="89">
        <f>SUM(D19,E19,F19,G19)</f>
        <v>-10297347.839661021</v>
      </c>
      <c r="I19" s="16"/>
      <c r="J19" s="27"/>
      <c r="K19" s="98"/>
      <c r="L19" s="98"/>
    </row>
    <row r="20" spans="1:14" ht="18.75" x14ac:dyDescent="0.25">
      <c r="B20" s="34"/>
      <c r="C20" s="99" t="s">
        <v>72</v>
      </c>
      <c r="D20" s="91">
        <f>D14+D18</f>
        <v>51695326</v>
      </c>
      <c r="E20" s="91">
        <f>SUM(E19,E13)</f>
        <v>0</v>
      </c>
      <c r="F20" s="91">
        <f>SUM(F19,F13)</f>
        <v>0</v>
      </c>
      <c r="G20" s="91">
        <f>G13+G15+G16+G17+G18+G19</f>
        <v>27541472.760338981</v>
      </c>
      <c r="H20" s="91">
        <f>H13+H15+H16+H17+H18+H19</f>
        <v>79236798.760338977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35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73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7"/>
    </row>
    <row r="26" spans="1:14" ht="18.75" hidden="1" x14ac:dyDescent="0.25">
      <c r="B26" s="33"/>
      <c r="C26" s="108" t="s">
        <v>6</v>
      </c>
      <c r="D26" s="108"/>
      <c r="E26" s="108"/>
      <c r="F26" s="108"/>
      <c r="G26" s="108"/>
      <c r="H26" s="108"/>
    </row>
    <row r="27" spans="1:14" ht="18.75" x14ac:dyDescent="0.25">
      <c r="A27" s="106" t="s">
        <v>4</v>
      </c>
      <c r="B27" s="106"/>
      <c r="C27" s="106"/>
      <c r="D27" s="106"/>
      <c r="E27" s="106"/>
      <c r="F27" s="106"/>
      <c r="G27" s="106"/>
      <c r="H27" s="106"/>
      <c r="I27" s="106"/>
    </row>
    <row r="28" spans="1:14" ht="18.75" x14ac:dyDescent="0.25">
      <c r="A28" s="109" t="s">
        <v>5</v>
      </c>
      <c r="B28" s="109"/>
      <c r="C28" s="109"/>
      <c r="D28" s="109"/>
      <c r="E28" s="109"/>
      <c r="F28" s="109"/>
      <c r="G28" s="109"/>
      <c r="H28" s="109"/>
      <c r="I28" s="109"/>
    </row>
    <row r="29" spans="1:14" ht="18.75" hidden="1" x14ac:dyDescent="0.3">
      <c r="B29" s="33"/>
      <c r="C29" s="108" t="s">
        <v>74</v>
      </c>
      <c r="D29" s="108"/>
      <c r="E29" s="49"/>
      <c r="F29" s="49"/>
      <c r="G29" s="108" t="s">
        <v>75</v>
      </c>
      <c r="H29" s="108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190A-9E4D-497E-AF02-F9ACAE2ABCE6}">
  <sheetPr filterMode="1"/>
  <dimension ref="A1:AA88"/>
  <sheetViews>
    <sheetView view="pageBreakPreview" zoomScale="60" workbookViewId="0">
      <selection activeCell="S14" sqref="S14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5" t="str">
        <f>'[3]Flujo de Efectivo'!A2</f>
        <v>Estado de Flujo de Efectivo</v>
      </c>
      <c r="B1" s="106"/>
      <c r="C1" s="105"/>
      <c r="D1" s="106"/>
      <c r="E1" s="106"/>
      <c r="F1" s="33"/>
    </row>
    <row r="2" spans="1:17" x14ac:dyDescent="0.3">
      <c r="A2" s="105" t="s">
        <v>7</v>
      </c>
      <c r="B2" s="106"/>
      <c r="C2" s="105"/>
      <c r="D2" s="106"/>
      <c r="E2" s="106"/>
      <c r="F2" s="33"/>
    </row>
    <row r="3" spans="1:17" x14ac:dyDescent="0.3">
      <c r="A3" s="105" t="str">
        <f>'[3]Flujo de Efectivo'!A4</f>
        <v>(Valores en RD$)</v>
      </c>
      <c r="B3" s="106"/>
      <c r="C3" s="105"/>
      <c r="D3" s="106"/>
      <c r="E3" s="106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+'[1]BC Balance Comprobación'!D11</f>
        <v>2022</v>
      </c>
      <c r="D5" s="36"/>
      <c r="E5" s="36">
        <f>+'[1]BC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8</v>
      </c>
      <c r="B6" s="40"/>
      <c r="C6" s="41"/>
      <c r="D6" s="41"/>
      <c r="E6" s="42"/>
      <c r="F6" s="33"/>
      <c r="H6" s="9"/>
      <c r="J6" s="43"/>
      <c r="K6" s="43"/>
    </row>
    <row r="7" spans="1:17" customFormat="1" hidden="1" x14ac:dyDescent="0.3">
      <c r="A7" s="44" t="s">
        <v>9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10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11</v>
      </c>
      <c r="B9" s="45"/>
      <c r="C9" s="45">
        <f>'[2] ERF-Rendimiento Financiero'!F8</f>
        <v>2500000</v>
      </c>
      <c r="D9" s="48"/>
      <c r="E9" s="45">
        <f>'[1]BC Balance Comprobación'!M37</f>
        <v>0</v>
      </c>
      <c r="F9" s="49"/>
      <c r="G9" s="45">
        <v>250000</v>
      </c>
      <c r="H9" s="12">
        <f t="shared" si="0"/>
        <v>2500000</v>
      </c>
      <c r="I9" s="50">
        <f>-'[4]BC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Q9" s="29"/>
    </row>
    <row r="10" spans="1:17" x14ac:dyDescent="0.25">
      <c r="A10" s="47" t="s">
        <v>12</v>
      </c>
      <c r="B10" s="46"/>
      <c r="C10" s="46">
        <f>'[2] ERF-Rendimiento Financiero'!F9+'[2] ERF-Rendimiento Financiero'!F11</f>
        <v>25676089.449999999</v>
      </c>
      <c r="D10" s="52"/>
      <c r="E10" s="35">
        <f>'[1]BC Balance Comprobación'!M38</f>
        <v>0</v>
      </c>
      <c r="F10" s="33"/>
      <c r="G10" s="46">
        <v>12775551</v>
      </c>
      <c r="H10" s="9">
        <f t="shared" si="0"/>
        <v>25676089.449999999</v>
      </c>
      <c r="I10" s="50">
        <f>-'[4]BC Balance Comprobación'!J38</f>
        <v>22060869</v>
      </c>
      <c r="J10" s="50">
        <v>13121616.66</v>
      </c>
      <c r="K10" s="50">
        <v>18001583</v>
      </c>
      <c r="L10" s="50">
        <v>14704462</v>
      </c>
      <c r="M10" s="27">
        <f>+C10+G10+I10+J10+K10+L10</f>
        <v>106340171.11</v>
      </c>
      <c r="O10" s="28">
        <f>+O8-O9</f>
        <v>1593316.0700000077</v>
      </c>
      <c r="P10" s="53"/>
    </row>
    <row r="11" spans="1:17" customFormat="1" hidden="1" x14ac:dyDescent="0.25">
      <c r="A11" s="44" t="s">
        <v>13</v>
      </c>
      <c r="B11" s="44">
        <v>79000</v>
      </c>
      <c r="C11" s="54"/>
      <c r="D11" s="54"/>
      <c r="E11" s="12">
        <v>0</v>
      </c>
      <c r="F11" s="13"/>
      <c r="G11" s="54"/>
      <c r="H11" s="12">
        <f t="shared" si="0"/>
        <v>0</v>
      </c>
      <c r="I11" s="50"/>
      <c r="J11" s="13"/>
    </row>
    <row r="12" spans="1:17" customFormat="1" hidden="1" x14ac:dyDescent="0.3">
      <c r="A12" s="44" t="s">
        <v>14</v>
      </c>
      <c r="B12" s="44"/>
      <c r="C12" s="54">
        <v>0</v>
      </c>
      <c r="D12" s="54"/>
      <c r="E12" s="12"/>
      <c r="F12" s="13"/>
      <c r="G12" s="55"/>
      <c r="H12" s="12">
        <f t="shared" si="0"/>
        <v>0</v>
      </c>
      <c r="I12" s="50"/>
      <c r="J12" s="13"/>
    </row>
    <row r="13" spans="1:17" customFormat="1" hidden="1" x14ac:dyDescent="0.3">
      <c r="A13" s="44" t="s">
        <v>15</v>
      </c>
      <c r="B13" s="44">
        <v>-6923283.4199999999</v>
      </c>
      <c r="C13" s="54">
        <v>0</v>
      </c>
      <c r="D13" s="54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-106285914.07966101</v>
      </c>
    </row>
    <row r="14" spans="1:17" customFormat="1" x14ac:dyDescent="0.3">
      <c r="A14" s="47" t="s">
        <v>16</v>
      </c>
      <c r="B14" s="55"/>
      <c r="C14" s="55"/>
      <c r="D14" s="56"/>
      <c r="E14" s="45">
        <f>'[1]BC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-8372437.1896610111</v>
      </c>
    </row>
    <row r="15" spans="1:17" customFormat="1" x14ac:dyDescent="0.3">
      <c r="A15" s="57"/>
      <c r="B15" s="45"/>
      <c r="C15" s="45"/>
      <c r="D15" s="48"/>
      <c r="E15" s="45"/>
      <c r="F15" s="49"/>
      <c r="G15" s="35"/>
      <c r="H15" s="12"/>
      <c r="I15" s="50"/>
      <c r="J15" s="13"/>
    </row>
    <row r="16" spans="1:17" customFormat="1" x14ac:dyDescent="0.3">
      <c r="A16" s="47" t="s">
        <v>17</v>
      </c>
      <c r="B16" s="44">
        <v>0</v>
      </c>
      <c r="C16" s="35">
        <f>-'[2]BC Balance Comprobación'!D159</f>
        <v>-64350</v>
      </c>
      <c r="D16" s="12"/>
      <c r="E16" s="12">
        <v>0</v>
      </c>
      <c r="F16" s="13"/>
      <c r="G16" s="45"/>
      <c r="H16" s="12">
        <f t="shared" ref="H16:H23" si="1">+C16+E16</f>
        <v>-64350</v>
      </c>
      <c r="I16" s="50"/>
      <c r="J16" s="13"/>
    </row>
    <row r="17" spans="1:21" x14ac:dyDescent="0.3">
      <c r="A17" s="47" t="s">
        <v>18</v>
      </c>
      <c r="B17" s="35"/>
      <c r="C17" s="35">
        <f>-'[2]BC Balance Comprobación'!D45</f>
        <v>-26372445.359999999</v>
      </c>
      <c r="D17" s="58"/>
      <c r="E17" s="35">
        <v>-83368429</v>
      </c>
      <c r="F17" s="33"/>
      <c r="G17" s="45">
        <v>-5376484.4800000004</v>
      </c>
      <c r="H17" s="9">
        <f t="shared" si="1"/>
        <v>-109740874.36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7">
        <f>+C17+G17+I17+J17+K17+L17</f>
        <v>-67755403.420000002</v>
      </c>
      <c r="Q17" s="17"/>
      <c r="R17" s="27"/>
      <c r="S17" s="27"/>
    </row>
    <row r="18" spans="1:21" customFormat="1" x14ac:dyDescent="0.3">
      <c r="A18" s="47" t="s">
        <v>19</v>
      </c>
      <c r="B18" s="45"/>
      <c r="C18" s="45">
        <f>-'[2]BC Balance Comprobación'!D58</f>
        <v>-1243236.1599999999</v>
      </c>
      <c r="D18" s="48"/>
      <c r="E18" s="45">
        <v>-8951787</v>
      </c>
      <c r="F18" s="49"/>
      <c r="G18" s="45">
        <v>-698885.18</v>
      </c>
      <c r="H18" s="12">
        <f t="shared" si="1"/>
        <v>-10195023.16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9">
        <f>+C18+G18+J18+K18+L18</f>
        <v>-5701629.5499999998</v>
      </c>
      <c r="R18" s="60"/>
      <c r="S18" s="60"/>
    </row>
    <row r="19" spans="1:21" customFormat="1" hidden="1" x14ac:dyDescent="0.3">
      <c r="A19" s="44" t="s">
        <v>20</v>
      </c>
      <c r="B19" s="44"/>
      <c r="C19" s="45">
        <f>-'[1]BC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60"/>
    </row>
    <row r="20" spans="1:21" x14ac:dyDescent="0.3">
      <c r="A20" s="47" t="s">
        <v>21</v>
      </c>
      <c r="B20" s="35"/>
      <c r="C20" s="45">
        <f>-'[2]BC Balance Comprobación'!D85-'[2]BC Balance Comprobación'!D105</f>
        <v>-8761994.629661018</v>
      </c>
      <c r="D20" s="58"/>
      <c r="E20" s="35">
        <v>-60758429</v>
      </c>
      <c r="F20" s="33"/>
      <c r="G20" s="12">
        <v>-65427</v>
      </c>
      <c r="H20" s="9">
        <f t="shared" si="1"/>
        <v>-69520423.629661024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-32828881.10966102</v>
      </c>
      <c r="P20" s="17"/>
      <c r="R20" s="17"/>
    </row>
    <row r="21" spans="1:21" customFormat="1" hidden="1" x14ac:dyDescent="0.25">
      <c r="A21" s="44" t="s">
        <v>22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60"/>
    </row>
    <row r="22" spans="1:21" customFormat="1" hidden="1" x14ac:dyDescent="0.25">
      <c r="A22" s="44" t="s">
        <v>23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9"/>
      <c r="S22" s="60"/>
    </row>
    <row r="23" spans="1:21" hidden="1" x14ac:dyDescent="0.25">
      <c r="A23" s="47" t="s">
        <v>24</v>
      </c>
      <c r="B23" s="35"/>
      <c r="C23" s="35"/>
      <c r="D23" s="58"/>
      <c r="E23" s="35">
        <v>-8548025</v>
      </c>
      <c r="F23" s="61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8"/>
      <c r="E24" s="35"/>
      <c r="F24" s="61"/>
      <c r="G24" s="58"/>
      <c r="H24" s="9"/>
      <c r="I24" s="50"/>
    </row>
    <row r="25" spans="1:21" ht="24.75" customHeight="1" x14ac:dyDescent="0.3">
      <c r="A25" s="47" t="s">
        <v>25</v>
      </c>
      <c r="B25" s="35"/>
      <c r="C25" s="35"/>
      <c r="D25" s="58"/>
      <c r="E25" s="35"/>
      <c r="F25" s="61"/>
      <c r="G25" s="45"/>
      <c r="H25" s="9"/>
      <c r="I25" s="50"/>
      <c r="Q25" s="28"/>
    </row>
    <row r="26" spans="1:21" x14ac:dyDescent="0.25">
      <c r="A26" s="62" t="s">
        <v>26</v>
      </c>
      <c r="B26" s="58"/>
      <c r="C26" s="58">
        <f>SUBTOTAL(9,C9:C25)</f>
        <v>-8265936.6996610183</v>
      </c>
      <c r="D26" s="58"/>
      <c r="E26" s="58">
        <f t="shared" ref="E26:L26" si="2">SUM(E7:E25)</f>
        <v>-161626670</v>
      </c>
      <c r="F26" s="58">
        <f t="shared" si="2"/>
        <v>0</v>
      </c>
      <c r="G26" s="58">
        <f t="shared" si="2"/>
        <v>6884754.3399999999</v>
      </c>
      <c r="H26" s="58">
        <f t="shared" si="2"/>
        <v>-169892606.69966102</v>
      </c>
      <c r="I26" s="58">
        <f t="shared" si="2"/>
        <v>3986244.8199999994</v>
      </c>
      <c r="J26" s="58">
        <f t="shared" si="2"/>
        <v>-1394437.8400000008</v>
      </c>
      <c r="K26" s="58">
        <f t="shared" si="2"/>
        <v>5203342.59</v>
      </c>
      <c r="L26" s="58">
        <f t="shared" si="2"/>
        <v>2707876.74</v>
      </c>
      <c r="P26" s="17"/>
      <c r="Q26" s="28"/>
    </row>
    <row r="27" spans="1:21" x14ac:dyDescent="0.3">
      <c r="A27" s="33" t="s">
        <v>2</v>
      </c>
      <c r="B27" s="35"/>
      <c r="C27" s="35"/>
      <c r="D27" s="58"/>
      <c r="E27" s="35"/>
      <c r="F27" s="33"/>
      <c r="G27" s="45"/>
      <c r="H27" s="1" t="s">
        <v>27</v>
      </c>
      <c r="I27" s="50"/>
      <c r="J27" s="63"/>
      <c r="P27" s="17"/>
      <c r="Q27" s="28"/>
    </row>
    <row r="28" spans="1:21" x14ac:dyDescent="0.25">
      <c r="A28" s="34" t="s">
        <v>28</v>
      </c>
      <c r="B28" s="64"/>
      <c r="C28" s="64"/>
      <c r="D28" s="65"/>
      <c r="E28" s="58"/>
      <c r="F28" s="33"/>
      <c r="G28" s="58"/>
      <c r="H28" s="9"/>
      <c r="I28" s="50"/>
    </row>
    <row r="29" spans="1:21" customFormat="1" hidden="1" x14ac:dyDescent="0.25">
      <c r="A29" s="44" t="s">
        <v>29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30</v>
      </c>
      <c r="B30" s="44"/>
      <c r="C30" s="12">
        <v>0</v>
      </c>
      <c r="D30" s="12"/>
      <c r="E30" s="12">
        <v>0</v>
      </c>
      <c r="F30" s="13"/>
      <c r="G30" s="58"/>
      <c r="H30" s="12">
        <f>+C30+E30</f>
        <v>0</v>
      </c>
      <c r="I30" s="50"/>
      <c r="J30" s="13"/>
    </row>
    <row r="31" spans="1:21" customFormat="1" hidden="1" x14ac:dyDescent="0.25">
      <c r="A31" s="44" t="s">
        <v>31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6"/>
      <c r="J31" s="13"/>
    </row>
    <row r="32" spans="1:21" customFormat="1" hidden="1" x14ac:dyDescent="0.25">
      <c r="A32" s="44" t="s">
        <v>32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33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8"/>
      <c r="J33" s="13"/>
    </row>
    <row r="34" spans="1:27" customFormat="1" hidden="1" x14ac:dyDescent="0.3">
      <c r="A34" s="47" t="s">
        <v>16</v>
      </c>
      <c r="B34" s="67"/>
      <c r="C34" s="35"/>
      <c r="D34" s="68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7"/>
      <c r="B35" s="45"/>
      <c r="C35" s="45"/>
      <c r="D35" s="48"/>
      <c r="E35" s="45"/>
      <c r="F35" s="49"/>
      <c r="G35" s="35"/>
      <c r="H35" s="12"/>
      <c r="I35" s="12"/>
      <c r="J35" s="26"/>
      <c r="Q35" s="51"/>
      <c r="R35" s="51"/>
    </row>
    <row r="36" spans="1:27" x14ac:dyDescent="0.25">
      <c r="A36" s="47" t="s">
        <v>34</v>
      </c>
      <c r="B36" s="35"/>
      <c r="C36" s="35">
        <f>+'[2]NOVIEMBRE '!E51</f>
        <v>87076.75</v>
      </c>
      <c r="D36" s="58"/>
      <c r="E36" s="35">
        <v>-12714328.18</v>
      </c>
      <c r="F36" s="33"/>
      <c r="H36" s="9">
        <f t="shared" ref="H36:H42" si="3">+C36+E36</f>
        <v>-12627251.43</v>
      </c>
      <c r="I36" s="12"/>
      <c r="J36" s="9"/>
      <c r="P36" s="17"/>
      <c r="Q36" s="27"/>
      <c r="R36" s="27"/>
      <c r="S36" s="69"/>
    </row>
    <row r="37" spans="1:27" ht="15" hidden="1" x14ac:dyDescent="0.25">
      <c r="A37" s="44" t="s">
        <v>35</v>
      </c>
      <c r="B37" s="44"/>
      <c r="C37" s="9"/>
      <c r="D37" s="9"/>
      <c r="E37" s="9"/>
      <c r="H37" s="9">
        <f t="shared" si="3"/>
        <v>0</v>
      </c>
      <c r="I37" s="12"/>
      <c r="R37" s="27">
        <v>7903734.4300000006</v>
      </c>
    </row>
    <row r="38" spans="1:27" customFormat="1" ht="15" hidden="1" x14ac:dyDescent="0.25">
      <c r="A38" s="44" t="s">
        <v>36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37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38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39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9"/>
    </row>
    <row r="42" spans="1:27" customFormat="1" ht="20.25" hidden="1" x14ac:dyDescent="0.3">
      <c r="A42" s="70" t="s">
        <v>40</v>
      </c>
      <c r="B42" s="45"/>
      <c r="C42" s="71"/>
      <c r="D42" s="48"/>
      <c r="E42" s="45">
        <v>-1029719</v>
      </c>
      <c r="F42" s="72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2"/>
      <c r="G43" s="58"/>
      <c r="H43" s="12"/>
      <c r="I43" s="1"/>
      <c r="J43" s="13"/>
    </row>
    <row r="44" spans="1:27" x14ac:dyDescent="0.25">
      <c r="A44" s="62" t="s">
        <v>41</v>
      </c>
      <c r="B44" s="58"/>
      <c r="C44" s="58">
        <f>SUM(C29:C43)</f>
        <v>87076.75</v>
      </c>
      <c r="D44" s="58"/>
      <c r="E44" s="58">
        <f t="shared" ref="E44:L44" si="4">SUM(E29:E43)</f>
        <v>-11044934.18</v>
      </c>
      <c r="F44" s="58">
        <f t="shared" si="4"/>
        <v>0</v>
      </c>
      <c r="G44" s="58">
        <f t="shared" si="4"/>
        <v>-67114.9375</v>
      </c>
      <c r="H44" s="58" t="e">
        <f t="shared" si="4"/>
        <v>#REF!</v>
      </c>
      <c r="I44" s="58">
        <f t="shared" si="4"/>
        <v>-460985.64999999997</v>
      </c>
      <c r="J44" s="58">
        <f t="shared" si="4"/>
        <v>-2046096.781</v>
      </c>
      <c r="K44" s="58">
        <f t="shared" si="4"/>
        <v>-1106252.8999999999</v>
      </c>
      <c r="L44" s="58">
        <f t="shared" si="4"/>
        <v>-1989590.89</v>
      </c>
    </row>
    <row r="45" spans="1:27" x14ac:dyDescent="0.25">
      <c r="B45" s="35"/>
      <c r="C45" s="35"/>
      <c r="D45" s="58"/>
      <c r="E45" s="35"/>
      <c r="F45" s="33"/>
      <c r="G45" s="35"/>
      <c r="J45" s="22"/>
      <c r="X45" s="28"/>
      <c r="Z45" s="28"/>
      <c r="AA45" s="27"/>
    </row>
    <row r="46" spans="1:27" customFormat="1" ht="21" x14ac:dyDescent="0.25">
      <c r="A46" s="73" t="s">
        <v>42</v>
      </c>
      <c r="B46" s="58"/>
      <c r="C46" s="58"/>
      <c r="D46" s="58"/>
      <c r="E46" s="35"/>
      <c r="F46" s="33"/>
      <c r="G46" s="74"/>
      <c r="H46" s="9">
        <f>+C46+E46</f>
        <v>0</v>
      </c>
      <c r="I46" s="58"/>
      <c r="J46" s="22"/>
      <c r="X46" s="29"/>
      <c r="Z46" s="29"/>
      <c r="AA46" s="29"/>
    </row>
    <row r="47" spans="1:27" customFormat="1" x14ac:dyDescent="0.3">
      <c r="A47" s="57" t="s">
        <v>43</v>
      </c>
      <c r="B47" s="44"/>
      <c r="C47" s="75">
        <v>-3718415.9088135599</v>
      </c>
      <c r="D47" s="12"/>
      <c r="E47" s="12">
        <v>0</v>
      </c>
      <c r="F47" s="13"/>
      <c r="G47" s="12">
        <v>6100158.8799999999</v>
      </c>
      <c r="H47">
        <f>+C47+E47</f>
        <v>-3718415.9088135599</v>
      </c>
      <c r="I47" s="51">
        <v>4301473.09</v>
      </c>
      <c r="J47" s="51">
        <v>1193664.42</v>
      </c>
      <c r="K47" s="51">
        <v>881693.84</v>
      </c>
      <c r="L47" s="26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44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-5142475.3599999975</v>
      </c>
      <c r="Q48" s="51"/>
    </row>
    <row r="49" spans="1:21" customFormat="1" ht="15" hidden="1" x14ac:dyDescent="0.25">
      <c r="A49" s="44" t="s">
        <v>45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6" t="s">
        <v>46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16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60"/>
      <c r="L51" s="29"/>
      <c r="Q51" s="29"/>
    </row>
    <row r="52" spans="1:21" customFormat="1" hidden="1" x14ac:dyDescent="0.3">
      <c r="A52" s="57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25">
      <c r="A53" s="47" t="s">
        <v>47</v>
      </c>
      <c r="B53" s="44"/>
      <c r="C53" s="29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48</v>
      </c>
      <c r="B54" s="44"/>
      <c r="C54" s="77"/>
      <c r="D54" s="12"/>
      <c r="E54" s="12">
        <v>0</v>
      </c>
      <c r="F54" s="13"/>
      <c r="G54" s="13"/>
      <c r="H54" s="12">
        <f>+G61+E54</f>
        <v>-1380288.7175000003</v>
      </c>
      <c r="I54" s="26"/>
      <c r="J54" s="13"/>
      <c r="L54" s="29"/>
    </row>
    <row r="55" spans="1:21" customFormat="1" hidden="1" x14ac:dyDescent="0.25">
      <c r="A55" s="47" t="s">
        <v>49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8">
        <v>-478574.57</v>
      </c>
      <c r="Q55" s="29"/>
      <c r="R55" s="9"/>
      <c r="S55" s="60"/>
    </row>
    <row r="56" spans="1:21" customFormat="1" hidden="1" x14ac:dyDescent="0.25">
      <c r="A56" s="47" t="s">
        <v>50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6"/>
      <c r="J56" s="13"/>
      <c r="L56" s="29"/>
      <c r="O56" s="79">
        <f>+O53-O55</f>
        <v>-4663900.7899999972</v>
      </c>
    </row>
    <row r="57" spans="1:21" customFormat="1" hidden="1" x14ac:dyDescent="0.25">
      <c r="A57" s="47" t="s">
        <v>51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40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80" t="s">
        <v>52</v>
      </c>
      <c r="B59" s="58"/>
      <c r="C59" s="58">
        <f>SUM(C47:C58)</f>
        <v>-3718415.9088135599</v>
      </c>
      <c r="D59" s="58"/>
      <c r="E59" s="58">
        <f t="shared" ref="E59:L59" si="5">SUM(E47:E58)</f>
        <v>0</v>
      </c>
      <c r="F59" s="58">
        <f t="shared" si="5"/>
        <v>0</v>
      </c>
      <c r="G59" s="58">
        <f t="shared" si="5"/>
        <v>-8197928.1200000001</v>
      </c>
      <c r="H59" s="58" t="e">
        <f t="shared" si="5"/>
        <v>#VALUE!</v>
      </c>
      <c r="I59" s="58">
        <f t="shared" si="5"/>
        <v>-4788763.2300000004</v>
      </c>
      <c r="J59" s="58">
        <f t="shared" si="5"/>
        <v>-3023635.46</v>
      </c>
      <c r="K59" s="58">
        <f t="shared" si="5"/>
        <v>-6734959.6199999992</v>
      </c>
      <c r="L59" s="58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27</v>
      </c>
      <c r="I60" s="12"/>
      <c r="J60" s="13"/>
      <c r="R60" s="51"/>
    </row>
    <row r="61" spans="1:21" x14ac:dyDescent="0.25">
      <c r="A61" s="33" t="s">
        <v>53</v>
      </c>
      <c r="B61" s="35"/>
      <c r="C61" s="35">
        <f>+C26+C44+C59</f>
        <v>-11897275.858474579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-184568880.03847459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54</v>
      </c>
      <c r="B62" s="74"/>
      <c r="C62" s="74">
        <v>45491531</v>
      </c>
      <c r="D62" s="81"/>
      <c r="E62" s="74">
        <v>5853191.9199999999</v>
      </c>
      <c r="F62" s="33"/>
      <c r="G62" s="74">
        <v>20979065.719999999</v>
      </c>
      <c r="H62" s="9">
        <f>+C62+E62</f>
        <v>51344722.920000002</v>
      </c>
      <c r="I62" s="74">
        <v>19598777</v>
      </c>
      <c r="J62" s="74">
        <v>18335272.939999998</v>
      </c>
      <c r="K62" s="74">
        <v>11871103</v>
      </c>
      <c r="L62" s="74">
        <v>9233233</v>
      </c>
      <c r="P62" s="27"/>
    </row>
    <row r="63" spans="1:21" ht="19.5" thickBot="1" x14ac:dyDescent="0.3">
      <c r="A63" s="33" t="s">
        <v>55</v>
      </c>
      <c r="B63" s="82"/>
      <c r="C63" s="82">
        <f>SUM(C61:C62)</f>
        <v>33594255.141525418</v>
      </c>
      <c r="D63" s="58"/>
      <c r="E63" s="82">
        <f>SUM(E61:E62)</f>
        <v>-166818412.26000002</v>
      </c>
      <c r="F63" s="33"/>
      <c r="G63" s="82">
        <f>SUM(G61:G62)</f>
        <v>19598777.002499998</v>
      </c>
      <c r="H63" s="9">
        <f>+C63+E63</f>
        <v>-133224157.1184746</v>
      </c>
      <c r="I63" s="82">
        <f>SUM(I61:I62)</f>
        <v>18335272.939999998</v>
      </c>
      <c r="J63" s="82">
        <f>SUM(J61:J62)</f>
        <v>11871102.858999997</v>
      </c>
      <c r="K63" s="82">
        <f>SUM(K61:K62)</f>
        <v>9233233.0700000003</v>
      </c>
      <c r="L63" s="82">
        <f>SUM(L61:L62)</f>
        <v>9587387.040000001</v>
      </c>
      <c r="P63" s="28"/>
      <c r="Q63" s="27"/>
    </row>
    <row r="64" spans="1:21" ht="19.5" thickTop="1" x14ac:dyDescent="0.25">
      <c r="B64" s="58"/>
      <c r="C64" s="58"/>
      <c r="D64" s="58"/>
      <c r="E64" s="58"/>
      <c r="F64" s="33"/>
      <c r="G64" s="58"/>
      <c r="H64" s="9"/>
      <c r="I64" s="58"/>
      <c r="J64" s="58"/>
      <c r="K64" s="58"/>
      <c r="L64" s="58"/>
    </row>
    <row r="65" spans="1:16" x14ac:dyDescent="0.25">
      <c r="B65" s="33"/>
      <c r="C65" s="42"/>
      <c r="D65" s="42"/>
      <c r="E65" s="42"/>
      <c r="F65" s="33"/>
      <c r="G65" s="12"/>
      <c r="H65" s="1" t="s">
        <v>27</v>
      </c>
      <c r="I65" s="9"/>
      <c r="P65" s="28"/>
    </row>
    <row r="66" spans="1:16" ht="21" hidden="1" x14ac:dyDescent="0.25">
      <c r="A66" s="83" t="s">
        <v>56</v>
      </c>
      <c r="B66" s="83"/>
      <c r="C66" s="35"/>
      <c r="D66" s="33"/>
      <c r="E66" s="35"/>
      <c r="F66" s="33"/>
      <c r="G66" s="74" t="s">
        <v>57</v>
      </c>
      <c r="M66" s="17">
        <f>+K62-J63</f>
        <v>0.14100000262260437</v>
      </c>
    </row>
    <row r="67" spans="1:16" x14ac:dyDescent="0.25">
      <c r="A67" s="106" t="s">
        <v>4</v>
      </c>
      <c r="B67" s="106"/>
      <c r="C67" s="106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09" t="s">
        <v>5</v>
      </c>
      <c r="B68" s="109"/>
      <c r="C68" s="109"/>
      <c r="D68" s="33"/>
      <c r="E68" s="33"/>
      <c r="F68" s="33"/>
      <c r="I68" s="20"/>
    </row>
    <row r="69" spans="1:16" hidden="1" x14ac:dyDescent="0.25">
      <c r="A69" s="108" t="s">
        <v>58</v>
      </c>
      <c r="B69" s="108"/>
      <c r="C69" s="108"/>
      <c r="D69" s="108"/>
      <c r="E69" s="108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07"/>
      <c r="B72" s="108"/>
      <c r="C72" s="107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7"/>
      <c r="D78" s="84"/>
      <c r="E78" s="16"/>
    </row>
    <row r="79" spans="1:16" x14ac:dyDescent="0.25">
      <c r="C79" s="77"/>
      <c r="D79" s="84"/>
      <c r="E79" s="16"/>
    </row>
    <row r="80" spans="1:16" x14ac:dyDescent="0.25">
      <c r="C80" s="77"/>
      <c r="D80" s="84"/>
      <c r="E80" s="16"/>
    </row>
    <row r="81" spans="3:5" x14ac:dyDescent="0.25">
      <c r="C81" s="77"/>
      <c r="D81" s="84"/>
      <c r="E81" s="16"/>
    </row>
    <row r="82" spans="3:5" x14ac:dyDescent="0.25">
      <c r="C82" s="77"/>
      <c r="D82" s="84"/>
      <c r="E82" s="16"/>
    </row>
    <row r="83" spans="3:5" x14ac:dyDescent="0.25">
      <c r="C83" s="77"/>
      <c r="D83" s="84"/>
      <c r="E83" s="16"/>
    </row>
    <row r="84" spans="3:5" x14ac:dyDescent="0.25">
      <c r="C84" s="77"/>
      <c r="D84" s="84"/>
      <c r="E84" s="16"/>
    </row>
    <row r="85" spans="3:5" x14ac:dyDescent="0.25">
      <c r="C85" s="77"/>
      <c r="D85" s="84"/>
      <c r="E85" s="16"/>
    </row>
    <row r="86" spans="3:5" x14ac:dyDescent="0.25">
      <c r="C86" s="77"/>
      <c r="D86" s="84"/>
      <c r="E86" s="16"/>
    </row>
    <row r="87" spans="3:5" x14ac:dyDescent="0.25">
      <c r="C87" s="77"/>
      <c r="D87" s="84"/>
      <c r="E87" s="16"/>
    </row>
    <row r="88" spans="3:5" x14ac:dyDescent="0.25">
      <c r="C88" s="77"/>
      <c r="D88" s="84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2022-12-09T19:49:40Z</dcterms:created>
  <dcterms:modified xsi:type="dcterms:W3CDTF">2022-12-12T13:16:02Z</dcterms:modified>
</cp:coreProperties>
</file>